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  <externalReference r:id="rId8"/>
    <externalReference r:id="rId9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<sst xmlns="http://schemas.openxmlformats.org/spreadsheetml/2006/main" count="117" uniqueCount="93">
  <si>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</si>
  <si>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</si>
  <si>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</si>
  <si>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</si>
  <si>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</si>
  <si>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</si>
  <si>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</si>
  <si>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</si>
  <si>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</si>
  <si>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</si>
  <si>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</si>
  <si>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</si>
  <si>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</si>
  <si>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</si>
  <si>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</si>
  <si>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</si>
  <si>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</si>
  <si>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</si>
  <si>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</si>
  <si>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</si>
  <si>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</si>
  <si>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</si>
  <si>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</si>
  <si>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</si>
  <si>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</si>
  <si>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сырье и материалы</t>
  </si>
  <si>
    <t>к экспертному закл.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</si>
  <si>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</si>
  <si>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</si>
  <si>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</si>
  <si>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</si>
  <si>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</si>
  <si>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</si>
  <si>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</si>
  <si>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</si>
  <si>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</si>
  <si>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</si>
  <si>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</si>
  <si>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</si>
  <si>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</si>
  <si>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</si>
  <si>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</si>
  <si>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</si>
  <si>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</si>
  <si>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</si>
  <si>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</si>
  <si>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</si>
  <si>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</si>
  <si>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</si>
  <si>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отчисления на социальные нужды</t>
  </si>
  <si>
    <t>текущий ремонт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</si>
  <si>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</si>
  <si>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</si>
  <si>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2.1.</t>
  </si>
  <si>
    <t>расходы на ГСМ</t>
  </si>
  <si>
    <t>общепроизводственные (цеховые) расходы, в т.ч.</t>
  </si>
  <si>
    <t>общехозяйственные (управленческие) расходы, в т.ч.</t>
  </si>
  <si>
    <t>Прочие расходы, связанные с утилизацией (захоронением) отходов, в т. ч.</t>
  </si>
  <si>
    <t>Приложение № 1
к экспертному заключению 
по делу № 175-13в</t>
  </si>
  <si>
    <t>общества с ограниченной ответственностью Управляющая организация «Жилсервис» (Новоселовский район, с. Новоселово, ИНН 2429002560)</t>
  </si>
  <si>
    <t>Приложение № 2                                           к экспертному заключению по делу 
№ 175-13в</t>
  </si>
  <si>
    <t>общества с ограниченной ответственностью Управляющая организация «Жилсервис» 
(Новоселовский район, с. Новоселово, ИНН 2429002560)</t>
  </si>
  <si>
    <t>прочие общепроизводственные (цеховые расходы)</t>
  </si>
  <si>
    <t>прочие общехозяйственные (управленческие) расходы</t>
  </si>
  <si>
    <t>Приложение № 3                                           к экспертному заключению по делу № 175-13в</t>
  </si>
  <si>
    <t>Тарифы на услуги по утилизации (захоронению) твердых бытовых отходов для потребителей общества с ограниченной ответственностью Управляющая организация «Жилсервис»  (Новоселовский район, 
с. Новоселово, ИНН 2429002560)</t>
  </si>
  <si>
    <t>Расходы, связанные с производством и реализацией товаров (услуг)</t>
  </si>
  <si>
    <t>в том числе:</t>
  </si>
  <si>
    <t>1.4.</t>
  </si>
  <si>
    <t>1.5.</t>
  </si>
  <si>
    <t>1.5.1.</t>
  </si>
  <si>
    <t>1.6.</t>
  </si>
  <si>
    <t>1.6.1.</t>
  </si>
  <si>
    <t>1.7.</t>
  </si>
  <si>
    <t>1.7.1.</t>
  </si>
  <si>
    <t>1.7.2.</t>
  </si>
  <si>
    <t>1.7.3.</t>
  </si>
  <si>
    <t>1.8.</t>
  </si>
  <si>
    <t>1.8.1.</t>
  </si>
  <si>
    <t>1.8.2.</t>
  </si>
  <si>
    <t>1.8.3.</t>
  </si>
  <si>
    <t>Итого расходов, связанных с производством и реализацией товаров (услуг)</t>
  </si>
  <si>
    <t>Внереализационные расходы</t>
  </si>
  <si>
    <t>Прочие экономически обоснованные расходы, относимые на прибыль после налогообложения</t>
  </si>
  <si>
    <t>Налоги, в том числе:</t>
  </si>
  <si>
    <t>2.2.</t>
  </si>
  <si>
    <t>2.2.1.</t>
  </si>
  <si>
    <t>Единый налог, уплачиваемый организацией, применяющей упрощенную систему налогообложения</t>
  </si>
  <si>
    <t>Итого внереализационных расходов</t>
  </si>
  <si>
    <t>Объем финансовых потребностей по реализации производственной программы  организации коммунального комплекса</t>
  </si>
  <si>
    <t>Всего 2014-2016 годы</t>
  </si>
  <si>
    <t>Расходы на ремонт основных средств, в том числе:</t>
  </si>
  <si>
    <t>3.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</si>
</sst>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8" fillId="0" borderId="10" xfId="57" applyFont="1" applyBorder="1" applyAlignment="1">
      <alignment horizontal="center" wrapText="1"/>
      <protection/>
    </xf>
    <xf numFmtId="189" fontId="1" fillId="0" borderId="10" xfId="0" applyNumberFormat="1" applyFont="1" applyBorder="1" applyAlignment="1">
      <alignment horizontal="center" vertical="center" wrapText="1"/>
    </xf>
    <xf numFmtId="0" fontId="5" fillId="0" borderId="11" xfId="58" applyFont="1" applyBorder="1" applyAlignment="1">
      <alignment horizontal="center"/>
      <protection/>
    </xf>
    <xf numFmtId="0" fontId="5" fillId="0" borderId="10" xfId="58" applyFont="1" applyBorder="1" applyAlignment="1">
      <alignment horizontal="left" vertical="center" wrapText="1"/>
      <protection/>
    </xf>
    <xf numFmtId="14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>
      <alignment/>
      <protection/>
    </xf>
    <xf numFmtId="4" fontId="5" fillId="0" borderId="10" xfId="58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9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eryaskina\&#1056;&#1072;&#1073;&#1086;&#1095;&#1080;&#1081;%20&#1089;&#1090;&#1086;&#1083;\&#1046;&#1080;&#1083;&#1089;&#1077;&#1088;&#1074;&#1080;&#1089;%20&#1088;&#1072;&#1089;&#1095;&#1077;&#1090;%20&#1082;%20&#1087;&#1088;&#1072;&#1074;&#1083;&#1077;&#1085;&#1080;&#110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&#1054;%20&#1089;.%20&#1053;&#1086;&#1074;&#1086;&#1089;&#1077;&#1083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БО"/>
    </sheetNames>
    <sheetDataSet>
      <sheetData sheetId="0">
        <row r="10">
          <cell r="D10">
            <v>0</v>
          </cell>
          <cell r="G10">
            <v>0</v>
          </cell>
        </row>
        <row r="11">
          <cell r="D11">
            <v>692.4</v>
          </cell>
          <cell r="E11">
            <v>721.48</v>
          </cell>
          <cell r="F11">
            <v>751.78</v>
          </cell>
        </row>
        <row r="16">
          <cell r="D16">
            <v>139.86</v>
          </cell>
          <cell r="E16">
            <v>259.73</v>
          </cell>
          <cell r="F16">
            <v>270.64</v>
          </cell>
        </row>
        <row r="18">
          <cell r="D18">
            <v>250.58</v>
          </cell>
          <cell r="E18">
            <v>250.58</v>
          </cell>
          <cell r="G18">
            <v>125.29</v>
          </cell>
          <cell r="H18">
            <v>250.58</v>
          </cell>
        </row>
        <row r="21">
          <cell r="F21">
            <v>73.18</v>
          </cell>
        </row>
        <row r="22">
          <cell r="D22">
            <v>67.4</v>
          </cell>
          <cell r="E22">
            <v>70.23</v>
          </cell>
          <cell r="G22">
            <v>33.7</v>
          </cell>
          <cell r="H22">
            <v>71.17</v>
          </cell>
          <cell r="I22">
            <v>74.51499</v>
          </cell>
          <cell r="J22">
            <v>39.01</v>
          </cell>
        </row>
        <row r="23">
          <cell r="D23">
            <v>313.3</v>
          </cell>
          <cell r="E23">
            <v>313.3</v>
          </cell>
          <cell r="F23">
            <v>326.46</v>
          </cell>
          <cell r="G23">
            <v>107.21231191466666</v>
          </cell>
          <cell r="H23">
            <v>220.85736254421334</v>
          </cell>
          <cell r="I23">
            <v>231.23765858379136</v>
          </cell>
          <cell r="J23">
            <v>121.05291426861476</v>
          </cell>
        </row>
        <row r="27">
          <cell r="E27">
            <v>627.1</v>
          </cell>
        </row>
        <row r="28">
          <cell r="D28">
            <v>129.38</v>
          </cell>
          <cell r="E28">
            <v>134.81</v>
          </cell>
          <cell r="F28">
            <v>140.48</v>
          </cell>
        </row>
        <row r="32">
          <cell r="D32">
            <v>26.13</v>
          </cell>
          <cell r="E32">
            <v>48.53</v>
          </cell>
          <cell r="F32">
            <v>50.57</v>
          </cell>
        </row>
        <row r="33">
          <cell r="D33">
            <v>425.89</v>
          </cell>
          <cell r="E33">
            <v>443.76</v>
          </cell>
          <cell r="F33">
            <v>462.39</v>
          </cell>
          <cell r="G33">
            <v>189.15</v>
          </cell>
          <cell r="H33">
            <v>398.24</v>
          </cell>
          <cell r="I33">
            <v>416.95</v>
          </cell>
          <cell r="J33">
            <v>218.26</v>
          </cell>
        </row>
        <row r="41">
          <cell r="E41">
            <v>374.87</v>
          </cell>
        </row>
        <row r="42">
          <cell r="D42">
            <v>173.78</v>
          </cell>
          <cell r="E42">
            <v>181.08</v>
          </cell>
          <cell r="F42">
            <v>188.68</v>
          </cell>
          <cell r="G42">
            <v>49.550127609240185</v>
          </cell>
          <cell r="H42">
            <v>105.34</v>
          </cell>
          <cell r="I42">
            <v>110.29097999999999</v>
          </cell>
          <cell r="J42">
            <v>57.74</v>
          </cell>
        </row>
        <row r="45">
          <cell r="D45">
            <v>35.1</v>
          </cell>
          <cell r="E45">
            <v>65.19</v>
          </cell>
          <cell r="F45">
            <v>67.93</v>
          </cell>
          <cell r="G45">
            <v>14.96</v>
          </cell>
          <cell r="H45">
            <v>31.81</v>
          </cell>
          <cell r="I45">
            <v>33.31</v>
          </cell>
          <cell r="J45">
            <v>17.44</v>
          </cell>
        </row>
        <row r="46">
          <cell r="D46">
            <v>123.42</v>
          </cell>
          <cell r="E46">
            <v>128.61</v>
          </cell>
          <cell r="F46">
            <v>134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БО"/>
      <sheetName val="Заработная плата"/>
      <sheetName val="Технология"/>
      <sheetName val="Прочие цеховые расходы"/>
      <sheetName val="Лист1"/>
    </sheetNames>
    <sheetDataSet>
      <sheetData sheetId="0">
        <row r="11">
          <cell r="G11">
            <v>278.26</v>
          </cell>
          <cell r="H11">
            <v>591.57</v>
          </cell>
          <cell r="I11">
            <v>619.37</v>
          </cell>
          <cell r="J11">
            <v>324.24</v>
          </cell>
        </row>
        <row r="16">
          <cell r="G16">
            <v>84.03</v>
          </cell>
          <cell r="H16">
            <v>178.65</v>
          </cell>
          <cell r="I16">
            <v>187.05</v>
          </cell>
          <cell r="J16">
            <v>97.92</v>
          </cell>
        </row>
        <row r="28">
          <cell r="G28">
            <v>73.89187416000001</v>
          </cell>
          <cell r="H28">
            <v>157.09075200000004</v>
          </cell>
          <cell r="I28">
            <v>164.47401734399998</v>
          </cell>
          <cell r="J28">
            <v>86.10214807958403</v>
          </cell>
        </row>
        <row r="32">
          <cell r="G32">
            <v>22.32</v>
          </cell>
          <cell r="H32">
            <v>47.44</v>
          </cell>
          <cell r="I32">
            <v>49.67</v>
          </cell>
          <cell r="J32">
            <v>26</v>
          </cell>
        </row>
        <row r="46">
          <cell r="G46">
            <v>60.96</v>
          </cell>
          <cell r="H46">
            <v>121.85</v>
          </cell>
          <cell r="I46">
            <v>108.94</v>
          </cell>
          <cell r="J46">
            <v>44.18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view="pageLayout" workbookViewId="0" topLeftCell="A7">
      <selection activeCell="D19" sqref="D19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7"/>
      <c r="B1" s="37"/>
      <c r="C1" s="37"/>
      <c r="D1" s="48" t="s">
        <v>58</v>
      </c>
      <c r="E1" s="49"/>
      <c r="F1" s="49"/>
    </row>
    <row r="2" spans="1:6" ht="30" customHeight="1">
      <c r="A2" s="37"/>
      <c r="B2" s="37"/>
      <c r="C2" s="37"/>
      <c r="D2" s="37"/>
      <c r="E2" s="37"/>
      <c r="F2" s="38"/>
    </row>
    <row r="3" spans="1:7" ht="20.25" customHeight="1">
      <c r="A3" s="46" t="s">
        <v>36</v>
      </c>
      <c r="B3" s="46"/>
      <c r="C3" s="46"/>
      <c r="D3" s="46"/>
      <c r="E3" s="46"/>
      <c r="F3" s="46"/>
      <c r="G3" s="15" t="s">
        <v>16</v>
      </c>
    </row>
    <row r="4" spans="1:9" ht="38.25" customHeight="1">
      <c r="A4" s="47" t="s">
        <v>59</v>
      </c>
      <c r="B4" s="47"/>
      <c r="C4" s="47"/>
      <c r="D4" s="47"/>
      <c r="E4" s="47"/>
      <c r="F4" s="47"/>
      <c r="G4" s="1"/>
      <c r="H4" s="1"/>
      <c r="I4" s="1"/>
    </row>
    <row r="5" spans="1:6" ht="18.75">
      <c r="A5" s="37"/>
      <c r="B5" s="37"/>
      <c r="C5" s="37"/>
      <c r="D5" s="37"/>
      <c r="E5" s="37"/>
      <c r="F5" s="38"/>
    </row>
    <row r="6" spans="1:6" ht="36" customHeight="1">
      <c r="A6" s="50" t="s">
        <v>6</v>
      </c>
      <c r="B6" s="50" t="s">
        <v>7</v>
      </c>
      <c r="C6" s="50" t="s">
        <v>8</v>
      </c>
      <c r="D6" s="52" t="s">
        <v>37</v>
      </c>
      <c r="E6" s="53"/>
      <c r="F6" s="54"/>
    </row>
    <row r="7" spans="1:6" ht="15.75">
      <c r="A7" s="51"/>
      <c r="B7" s="51"/>
      <c r="C7" s="51"/>
      <c r="D7" s="35" t="s">
        <v>17</v>
      </c>
      <c r="E7" s="35" t="s">
        <v>18</v>
      </c>
      <c r="F7" s="35" t="s">
        <v>38</v>
      </c>
    </row>
    <row r="8" spans="1:6" ht="33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</row>
    <row r="9" spans="1:6" ht="47.25" customHeight="1">
      <c r="A9" s="35">
        <v>1</v>
      </c>
      <c r="B9" s="36" t="s">
        <v>39</v>
      </c>
      <c r="C9" s="35" t="s">
        <v>40</v>
      </c>
      <c r="D9" s="35">
        <v>5.816</v>
      </c>
      <c r="E9" s="35">
        <v>5.828</v>
      </c>
      <c r="F9" s="35">
        <v>5.818</v>
      </c>
    </row>
    <row r="10" spans="1:6" ht="36" customHeight="1">
      <c r="A10" s="35" t="s">
        <v>1</v>
      </c>
      <c r="B10" s="36" t="s">
        <v>41</v>
      </c>
      <c r="C10" s="35" t="s">
        <v>40</v>
      </c>
      <c r="D10" s="40">
        <v>4.63</v>
      </c>
      <c r="E10" s="40">
        <v>4.63</v>
      </c>
      <c r="F10" s="40">
        <v>4.63</v>
      </c>
    </row>
    <row r="11" spans="1:6" ht="15.75">
      <c r="A11" s="35" t="s">
        <v>2</v>
      </c>
      <c r="B11" s="36" t="s">
        <v>42</v>
      </c>
      <c r="C11" s="35" t="s">
        <v>40</v>
      </c>
      <c r="D11" s="40">
        <v>0.71</v>
      </c>
      <c r="E11" s="40">
        <v>0.71</v>
      </c>
      <c r="F11" s="40">
        <v>0.71</v>
      </c>
    </row>
    <row r="12" spans="1:6" ht="15.75">
      <c r="A12" s="35" t="s">
        <v>43</v>
      </c>
      <c r="B12" s="36" t="s">
        <v>44</v>
      </c>
      <c r="C12" s="35" t="s">
        <v>40</v>
      </c>
      <c r="D12" s="35">
        <v>0.476</v>
      </c>
      <c r="E12" s="35">
        <v>0.488</v>
      </c>
      <c r="F12" s="35">
        <v>0.478</v>
      </c>
    </row>
    <row r="13" spans="1:6" ht="31.5">
      <c r="A13" s="35">
        <v>2</v>
      </c>
      <c r="B13" s="36" t="s">
        <v>21</v>
      </c>
      <c r="C13" s="35" t="s">
        <v>45</v>
      </c>
      <c r="D13" s="35">
        <v>4596</v>
      </c>
      <c r="E13" s="35">
        <v>4596</v>
      </c>
      <c r="F13" s="35">
        <v>4596</v>
      </c>
    </row>
    <row r="14" spans="1:6" ht="31.5">
      <c r="A14" s="35">
        <v>3</v>
      </c>
      <c r="B14" s="36" t="s">
        <v>19</v>
      </c>
      <c r="C14" s="34" t="s">
        <v>40</v>
      </c>
      <c r="D14" s="19">
        <v>42.25</v>
      </c>
      <c r="E14" s="19">
        <v>42.25</v>
      </c>
      <c r="F14" s="19">
        <v>42.25</v>
      </c>
    </row>
    <row r="15" spans="1:6" ht="31.5">
      <c r="A15" s="35">
        <v>4</v>
      </c>
      <c r="B15" s="36" t="s">
        <v>20</v>
      </c>
      <c r="C15" s="34" t="s">
        <v>40</v>
      </c>
      <c r="D15" s="19">
        <v>0</v>
      </c>
      <c r="E15" s="19">
        <v>0</v>
      </c>
      <c r="F15" s="19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35"/>
  <sheetViews>
    <sheetView tabSelected="1" workbookViewId="0" topLeftCell="A2">
      <selection activeCell="B39" sqref="B39"/>
    </sheetView>
  </sheetViews>
  <sheetFormatPr defaultColWidth="9.140625" defaultRowHeight="12.75"/>
  <cols>
    <col min="1" max="1" width="8.28125" style="3" customWidth="1"/>
    <col min="2" max="2" width="26.00390625" style="3" customWidth="1"/>
    <col min="3" max="4" width="10.140625" style="4" customWidth="1"/>
    <col min="5" max="5" width="12.8515625" style="3" customWidth="1"/>
    <col min="6" max="7" width="10.140625" style="3" customWidth="1"/>
    <col min="8" max="8" width="12.8515625" style="3" customWidth="1"/>
    <col min="9" max="10" width="10.140625" style="3" customWidth="1"/>
    <col min="11" max="11" width="12.8515625" style="3" customWidth="1"/>
    <col min="12" max="12" width="10.8515625" style="3" customWidth="1"/>
    <col min="13" max="13" width="9.140625" style="3" customWidth="1"/>
    <col min="14" max="14" width="11.8515625" style="3" customWidth="1"/>
    <col min="15" max="16384" width="9.140625" style="3" customWidth="1"/>
  </cols>
  <sheetData>
    <row r="1" ht="15.75" hidden="1"/>
    <row r="2" spans="2:11" ht="54.75" customHeight="1">
      <c r="B2" s="16"/>
      <c r="C2" s="57"/>
      <c r="D2" s="57"/>
      <c r="E2" s="57"/>
      <c r="F2" s="18"/>
      <c r="G2" s="18"/>
      <c r="H2" s="57" t="s">
        <v>60</v>
      </c>
      <c r="I2" s="57"/>
      <c r="J2" s="57"/>
      <c r="K2" s="57"/>
    </row>
    <row r="3" spans="1:4" ht="18.75">
      <c r="A3" s="5"/>
      <c r="B3" s="5"/>
      <c r="C3" s="6"/>
      <c r="D3" s="6"/>
    </row>
    <row r="4" spans="1:12" ht="19.5" customHeight="1">
      <c r="A4" s="58" t="s">
        <v>10</v>
      </c>
      <c r="B4" s="58"/>
      <c r="C4" s="58"/>
      <c r="D4" s="58"/>
      <c r="E4" s="58"/>
      <c r="F4" s="59"/>
      <c r="G4" s="59"/>
      <c r="H4" s="59"/>
      <c r="I4" s="59"/>
      <c r="J4" s="59"/>
      <c r="K4" s="59"/>
      <c r="L4" s="15" t="s">
        <v>26</v>
      </c>
    </row>
    <row r="5" spans="1:11" ht="39" customHeight="1">
      <c r="A5" s="47" t="s">
        <v>61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4" ht="17.25" customHeight="1">
      <c r="A7" s="56" t="s">
        <v>6</v>
      </c>
      <c r="B7" s="56" t="s">
        <v>0</v>
      </c>
      <c r="C7" s="56" t="s">
        <v>22</v>
      </c>
      <c r="D7" s="56"/>
      <c r="E7" s="56"/>
      <c r="F7" s="56" t="s">
        <v>24</v>
      </c>
      <c r="G7" s="56"/>
      <c r="H7" s="56"/>
      <c r="I7" s="56" t="s">
        <v>23</v>
      </c>
      <c r="J7" s="56"/>
      <c r="K7" s="56"/>
      <c r="L7" s="55" t="s">
        <v>90</v>
      </c>
      <c r="M7" s="55"/>
      <c r="N7" s="55"/>
    </row>
    <row r="8" spans="1:14" ht="82.5" customHeight="1">
      <c r="A8" s="56"/>
      <c r="B8" s="56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  <c r="L8" s="8" t="s">
        <v>9</v>
      </c>
      <c r="M8" s="8" t="s">
        <v>3</v>
      </c>
      <c r="N8" s="9" t="s">
        <v>4</v>
      </c>
    </row>
    <row r="9" spans="1:14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</row>
    <row r="10" spans="1:14" ht="63">
      <c r="A10" s="9">
        <v>1</v>
      </c>
      <c r="B10" s="42" t="s">
        <v>66</v>
      </c>
      <c r="C10" s="41"/>
      <c r="D10" s="41"/>
      <c r="E10" s="41"/>
      <c r="F10" s="41"/>
      <c r="G10" s="41"/>
      <c r="H10" s="41"/>
      <c r="I10" s="41"/>
      <c r="J10" s="41"/>
      <c r="K10" s="41"/>
      <c r="L10" s="44"/>
      <c r="M10" s="44"/>
      <c r="N10" s="44"/>
    </row>
    <row r="11" spans="1:14" ht="15.75">
      <c r="A11" s="9"/>
      <c r="B11" s="42" t="s">
        <v>67</v>
      </c>
      <c r="C11" s="41"/>
      <c r="D11" s="41"/>
      <c r="E11" s="41"/>
      <c r="F11" s="41"/>
      <c r="G11" s="41"/>
      <c r="H11" s="41"/>
      <c r="I11" s="41"/>
      <c r="J11" s="41"/>
      <c r="K11" s="41"/>
      <c r="L11" s="44"/>
      <c r="M11" s="44"/>
      <c r="N11" s="44"/>
    </row>
    <row r="12" spans="1:14" ht="37.5" customHeight="1">
      <c r="A12" s="11" t="s">
        <v>1</v>
      </c>
      <c r="B12" s="13" t="s">
        <v>25</v>
      </c>
      <c r="C12" s="20">
        <f>'[2]Расчет ТБО'!$D$10</f>
        <v>0</v>
      </c>
      <c r="D12" s="20">
        <f>'[2]Расчет ТБО'!$G$10</f>
        <v>0</v>
      </c>
      <c r="E12" s="20">
        <f aca="true" t="shared" si="0" ref="E12:K12">C12-D12</f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45">
        <f>C12+F12+I12</f>
        <v>0</v>
      </c>
      <c r="M12" s="45">
        <f>D12+G12+J12</f>
        <v>0</v>
      </c>
      <c r="N12" s="45">
        <f>L12-M12</f>
        <v>0</v>
      </c>
    </row>
    <row r="13" spans="1:14" ht="31.5">
      <c r="A13" s="14" t="s">
        <v>2</v>
      </c>
      <c r="B13" s="12" t="s">
        <v>46</v>
      </c>
      <c r="C13" s="21">
        <f>'[2]Расчет ТБО'!$D$11</f>
        <v>692.4</v>
      </c>
      <c r="D13" s="21">
        <f>'[3]Расчет ТБО'!$G$11+'[3]Расчет ТБО'!$H$11/2</f>
        <v>574.0450000000001</v>
      </c>
      <c r="E13" s="20">
        <f aca="true" t="shared" si="1" ref="E13:E28">C13-D13</f>
        <v>118.3549999999999</v>
      </c>
      <c r="F13" s="21">
        <f>'[2]Расчет ТБО'!$E$11</f>
        <v>721.48</v>
      </c>
      <c r="G13" s="21">
        <f>'[3]Расчет ТБО'!$H$11/2+'[3]Расчет ТБО'!$I$11/2</f>
        <v>605.47</v>
      </c>
      <c r="H13" s="20">
        <f aca="true" t="shared" si="2" ref="H13:H28">F13-G13</f>
        <v>116.00999999999999</v>
      </c>
      <c r="I13" s="21">
        <f>'[2]Расчет ТБО'!$F$11</f>
        <v>751.78</v>
      </c>
      <c r="J13" s="21">
        <f>'[3]Расчет ТБО'!$I$11/2+'[3]Расчет ТБО'!$J$11</f>
        <v>633.925</v>
      </c>
      <c r="K13" s="20">
        <f aca="true" t="shared" si="3" ref="K13:K28">I13-J13</f>
        <v>117.85500000000002</v>
      </c>
      <c r="L13" s="45">
        <f aca="true" t="shared" si="4" ref="L13:L35">C13+F13+I13</f>
        <v>2165.66</v>
      </c>
      <c r="M13" s="45">
        <f aca="true" t="shared" si="5" ref="M13:M35">D13+G13+J13</f>
        <v>1813.44</v>
      </c>
      <c r="N13" s="45">
        <f aca="true" t="shared" si="6" ref="N13:N35">L13-M13</f>
        <v>352.2199999999998</v>
      </c>
    </row>
    <row r="14" spans="1:14" ht="31.5">
      <c r="A14" s="14" t="s">
        <v>43</v>
      </c>
      <c r="B14" s="13" t="s">
        <v>47</v>
      </c>
      <c r="C14" s="21">
        <f>'[2]Расчет ТБО'!$D$16</f>
        <v>139.86</v>
      </c>
      <c r="D14" s="21">
        <f>'[3]Расчет ТБО'!$G$16+'[3]Расчет ТБО'!$H$16/2</f>
        <v>173.35500000000002</v>
      </c>
      <c r="E14" s="20">
        <f t="shared" si="1"/>
        <v>-33.495000000000005</v>
      </c>
      <c r="F14" s="21">
        <f>'[2]Расчет ТБО'!$E$16</f>
        <v>259.73</v>
      </c>
      <c r="G14" s="21">
        <f>'[3]Расчет ТБО'!$H$16/2+'[3]Расчет ТБО'!$I$16/2</f>
        <v>182.85000000000002</v>
      </c>
      <c r="H14" s="20">
        <f t="shared" si="2"/>
        <v>76.88</v>
      </c>
      <c r="I14" s="21">
        <f>'[2]Расчет ТБО'!$F$16</f>
        <v>270.64</v>
      </c>
      <c r="J14" s="21">
        <f>'[3]Расчет ТБО'!$I$16/2+'[3]Расчет ТБО'!$J$16</f>
        <v>191.445</v>
      </c>
      <c r="K14" s="20">
        <f t="shared" si="3"/>
        <v>79.195</v>
      </c>
      <c r="L14" s="45">
        <f t="shared" si="4"/>
        <v>670.23</v>
      </c>
      <c r="M14" s="45">
        <f t="shared" si="5"/>
        <v>547.6500000000001</v>
      </c>
      <c r="N14" s="45">
        <f t="shared" si="6"/>
        <v>122.57999999999993</v>
      </c>
    </row>
    <row r="15" spans="1:14" ht="57" customHeight="1">
      <c r="A15" s="14" t="s">
        <v>68</v>
      </c>
      <c r="B15" s="12" t="s">
        <v>48</v>
      </c>
      <c r="C15" s="21">
        <f>'[2]Расчет ТБО'!$D$18</f>
        <v>250.58</v>
      </c>
      <c r="D15" s="22">
        <f>'[2]Расчет ТБО'!$G$18+'[2]Расчет ТБО'!$H$18/2</f>
        <v>250.58</v>
      </c>
      <c r="E15" s="20">
        <f t="shared" si="1"/>
        <v>0</v>
      </c>
      <c r="F15" s="21">
        <f>'[2]Расчет ТБО'!$E$18</f>
        <v>250.58</v>
      </c>
      <c r="G15" s="22">
        <v>250.58</v>
      </c>
      <c r="H15" s="20">
        <f t="shared" si="2"/>
        <v>0</v>
      </c>
      <c r="I15" s="21">
        <f>F15</f>
        <v>250.58</v>
      </c>
      <c r="J15" s="22">
        <f>I15</f>
        <v>250.58</v>
      </c>
      <c r="K15" s="20">
        <f t="shared" si="3"/>
        <v>0</v>
      </c>
      <c r="L15" s="45">
        <f t="shared" si="4"/>
        <v>751.74</v>
      </c>
      <c r="M15" s="45">
        <f t="shared" si="5"/>
        <v>751.74</v>
      </c>
      <c r="N15" s="45">
        <f t="shared" si="6"/>
        <v>0</v>
      </c>
    </row>
    <row r="16" spans="1:14" ht="47.25">
      <c r="A16" s="14" t="s">
        <v>69</v>
      </c>
      <c r="B16" s="12" t="s">
        <v>91</v>
      </c>
      <c r="C16" s="21">
        <f>C17</f>
        <v>67.4</v>
      </c>
      <c r="D16" s="22">
        <f>D17</f>
        <v>69.285</v>
      </c>
      <c r="E16" s="20">
        <f t="shared" si="1"/>
        <v>-1.884999999999991</v>
      </c>
      <c r="F16" s="20">
        <f>'[2]Расчет ТБО'!$E$22</f>
        <v>70.23</v>
      </c>
      <c r="G16" s="22">
        <f>'[2]Расчет ТБО'!$H$22/2+'[2]Расчет ТБО'!$I$22/2</f>
        <v>72.842495</v>
      </c>
      <c r="H16" s="20">
        <f t="shared" si="2"/>
        <v>-2.6124949999999956</v>
      </c>
      <c r="I16" s="20">
        <f>'[2]Расчет ТБО'!$F$21</f>
        <v>73.18</v>
      </c>
      <c r="J16" s="22">
        <f>'[2]Расчет ТБО'!$I$22/2+'[2]Расчет ТБО'!$J$22</f>
        <v>76.267495</v>
      </c>
      <c r="K16" s="20">
        <f t="shared" si="3"/>
        <v>-3.08749499999999</v>
      </c>
      <c r="L16" s="45">
        <f t="shared" si="4"/>
        <v>210.81</v>
      </c>
      <c r="M16" s="45">
        <f t="shared" si="5"/>
        <v>218.39499</v>
      </c>
      <c r="N16" s="45">
        <f t="shared" si="6"/>
        <v>-7.584990000000005</v>
      </c>
    </row>
    <row r="17" spans="1:14" ht="15.75">
      <c r="A17" s="14" t="s">
        <v>70</v>
      </c>
      <c r="B17" s="12" t="s">
        <v>50</v>
      </c>
      <c r="C17" s="21">
        <f>'[2]Расчет ТБО'!$D$22</f>
        <v>67.4</v>
      </c>
      <c r="D17" s="22">
        <f>'[2]Расчет ТБО'!$G$22+'[2]Расчет ТБО'!$H$22/2</f>
        <v>69.285</v>
      </c>
      <c r="E17" s="20">
        <f t="shared" si="1"/>
        <v>-1.884999999999991</v>
      </c>
      <c r="F17" s="20">
        <f>F16</f>
        <v>70.23</v>
      </c>
      <c r="G17" s="22">
        <f>G16</f>
        <v>72.842495</v>
      </c>
      <c r="H17" s="20">
        <f t="shared" si="2"/>
        <v>-2.6124949999999956</v>
      </c>
      <c r="I17" s="20">
        <f>I16</f>
        <v>73.18</v>
      </c>
      <c r="J17" s="22">
        <f>J16</f>
        <v>76.267495</v>
      </c>
      <c r="K17" s="20">
        <f t="shared" si="3"/>
        <v>-3.08749499999999</v>
      </c>
      <c r="L17" s="45">
        <f t="shared" si="4"/>
        <v>210.81</v>
      </c>
      <c r="M17" s="45">
        <f t="shared" si="5"/>
        <v>218.39499</v>
      </c>
      <c r="N17" s="45">
        <f t="shared" si="6"/>
        <v>-7.584990000000005</v>
      </c>
    </row>
    <row r="18" spans="1:14" ht="66" customHeight="1">
      <c r="A18" s="14" t="s">
        <v>71</v>
      </c>
      <c r="B18" s="12" t="s">
        <v>57</v>
      </c>
      <c r="C18" s="21">
        <f>C19</f>
        <v>313.3</v>
      </c>
      <c r="D18" s="21">
        <f>D19</f>
        <v>217.64099318677333</v>
      </c>
      <c r="E18" s="20">
        <f t="shared" si="1"/>
        <v>95.65900681322668</v>
      </c>
      <c r="F18" s="20">
        <f>'[2]Расчет ТБО'!$E$23</f>
        <v>313.3</v>
      </c>
      <c r="G18" s="22">
        <f>'[2]Расчет ТБО'!$H$23/2+'[2]Расчет ТБО'!$I$23/2</f>
        <v>226.04751056400235</v>
      </c>
      <c r="H18" s="20">
        <f t="shared" si="2"/>
        <v>87.25248943599766</v>
      </c>
      <c r="I18" s="20">
        <f>'[2]Расчет ТБО'!$F$23</f>
        <v>326.46</v>
      </c>
      <c r="J18" s="22">
        <f>'[2]Расчет ТБО'!$I$23/2+'[2]Расчет ТБО'!$J$23</f>
        <v>236.67174356051044</v>
      </c>
      <c r="K18" s="20">
        <f t="shared" si="3"/>
        <v>89.78825643948954</v>
      </c>
      <c r="L18" s="45">
        <f t="shared" si="4"/>
        <v>953.06</v>
      </c>
      <c r="M18" s="45">
        <f t="shared" si="5"/>
        <v>680.3602473112861</v>
      </c>
      <c r="N18" s="45">
        <f t="shared" si="6"/>
        <v>272.69975268871383</v>
      </c>
    </row>
    <row r="19" spans="1:14" ht="28.5" customHeight="1">
      <c r="A19" s="14" t="s">
        <v>72</v>
      </c>
      <c r="B19" s="12" t="s">
        <v>54</v>
      </c>
      <c r="C19" s="21">
        <f>'[2]Расчет ТБО'!$D$23</f>
        <v>313.3</v>
      </c>
      <c r="D19" s="21">
        <f>'[2]Расчет ТБО'!$G$23+'[2]Расчет ТБО'!$H$23/2</f>
        <v>217.64099318677333</v>
      </c>
      <c r="E19" s="20">
        <f t="shared" si="1"/>
        <v>95.65900681322668</v>
      </c>
      <c r="F19" s="20">
        <f>F18</f>
        <v>313.3</v>
      </c>
      <c r="G19" s="22">
        <f>G18</f>
        <v>226.04751056400235</v>
      </c>
      <c r="H19" s="20">
        <f t="shared" si="2"/>
        <v>87.25248943599766</v>
      </c>
      <c r="I19" s="20">
        <f>I18</f>
        <v>326.46</v>
      </c>
      <c r="J19" s="22">
        <f>J18</f>
        <v>236.67174356051044</v>
      </c>
      <c r="K19" s="20">
        <f t="shared" si="3"/>
        <v>89.78825643948954</v>
      </c>
      <c r="L19" s="45">
        <f t="shared" si="4"/>
        <v>953.06</v>
      </c>
      <c r="M19" s="45">
        <f t="shared" si="5"/>
        <v>680.3602473112861</v>
      </c>
      <c r="N19" s="45">
        <f t="shared" si="6"/>
        <v>272.69975268871383</v>
      </c>
    </row>
    <row r="20" spans="1:14" ht="35.25" customHeight="1">
      <c r="A20" s="14" t="s">
        <v>73</v>
      </c>
      <c r="B20" s="12" t="s">
        <v>55</v>
      </c>
      <c r="C20" s="21">
        <f>C21+C22+C23</f>
        <v>581.4</v>
      </c>
      <c r="D20" s="21">
        <f>D21+D22+D23</f>
        <v>586.74725016</v>
      </c>
      <c r="E20" s="20">
        <f t="shared" si="1"/>
        <v>-5.347250160000044</v>
      </c>
      <c r="F20" s="20">
        <f>'[2]Расчет ТБО'!$E$27</f>
        <v>627.1</v>
      </c>
      <c r="G20" s="22">
        <f>G21+G22+G23</f>
        <v>616.932384672</v>
      </c>
      <c r="H20" s="20">
        <f t="shared" si="2"/>
        <v>10.16761532800001</v>
      </c>
      <c r="I20" s="20">
        <f>I21+I22+I23</f>
        <v>653.4399999999999</v>
      </c>
      <c r="J20" s="22">
        <f>J21+J22+J23</f>
        <v>645.9091567515841</v>
      </c>
      <c r="K20" s="20">
        <f t="shared" si="3"/>
        <v>7.530843248415863</v>
      </c>
      <c r="L20" s="45">
        <f t="shared" si="4"/>
        <v>1861.94</v>
      </c>
      <c r="M20" s="45">
        <f t="shared" si="5"/>
        <v>1849.588791583584</v>
      </c>
      <c r="N20" s="45">
        <f t="shared" si="6"/>
        <v>12.351208416416057</v>
      </c>
    </row>
    <row r="21" spans="1:14" ht="50.25" customHeight="1">
      <c r="A21" s="14" t="s">
        <v>74</v>
      </c>
      <c r="B21" s="12" t="s">
        <v>51</v>
      </c>
      <c r="C21" s="21">
        <f>'[2]Расчет ТБО'!$D$28</f>
        <v>129.38</v>
      </c>
      <c r="D21" s="21">
        <f>'[3]Расчет ТБО'!$G$28+'[3]Расчет ТБО'!$H$28/2</f>
        <v>152.43725016000002</v>
      </c>
      <c r="E21" s="20">
        <f t="shared" si="1"/>
        <v>-23.057250160000024</v>
      </c>
      <c r="F21" s="20">
        <f>'[2]Расчет ТБО'!$E$28</f>
        <v>134.81</v>
      </c>
      <c r="G21" s="22">
        <f>'[3]Расчет ТБО'!$H$28/2+'[3]Расчет ТБО'!$I$28/2</f>
        <v>160.782384672</v>
      </c>
      <c r="H21" s="20">
        <f t="shared" si="2"/>
        <v>-25.972384672000004</v>
      </c>
      <c r="I21" s="20">
        <f>'[2]Расчет ТБО'!$F$28</f>
        <v>140.48</v>
      </c>
      <c r="J21" s="22">
        <f>'[3]Расчет ТБО'!$I$28/2+'[3]Расчет ТБО'!$J$28</f>
        <v>168.33915675158403</v>
      </c>
      <c r="K21" s="20">
        <f t="shared" si="3"/>
        <v>-27.859156751584038</v>
      </c>
      <c r="L21" s="45">
        <f t="shared" si="4"/>
        <v>404.66999999999996</v>
      </c>
      <c r="M21" s="45">
        <f t="shared" si="5"/>
        <v>481.558791583584</v>
      </c>
      <c r="N21" s="45">
        <f t="shared" si="6"/>
        <v>-76.88879158358407</v>
      </c>
    </row>
    <row r="22" spans="1:14" ht="42" customHeight="1">
      <c r="A22" s="14" t="s">
        <v>75</v>
      </c>
      <c r="B22" s="13" t="s">
        <v>49</v>
      </c>
      <c r="C22" s="21">
        <f>'[2]Расчет ТБО'!$D$32</f>
        <v>26.13</v>
      </c>
      <c r="D22" s="21">
        <f>'[3]Расчет ТБО'!$G$32+'[3]Расчет ТБО'!$H$32/2</f>
        <v>46.04</v>
      </c>
      <c r="E22" s="20">
        <f t="shared" si="1"/>
        <v>-19.91</v>
      </c>
      <c r="F22" s="20">
        <f>'[2]Расчет ТБО'!$E$32</f>
        <v>48.53</v>
      </c>
      <c r="G22" s="22">
        <f>'[3]Расчет ТБО'!$H$32/2+'[3]Расчет ТБО'!$I$32/2</f>
        <v>48.555</v>
      </c>
      <c r="H22" s="20">
        <f t="shared" si="2"/>
        <v>-0.02499999999999858</v>
      </c>
      <c r="I22" s="20">
        <f>'[2]Расчет ТБО'!$F$32</f>
        <v>50.57</v>
      </c>
      <c r="J22" s="22">
        <f>'[3]Расчет ТБО'!$I$32/2+'[3]Расчет ТБО'!$J$32</f>
        <v>50.835</v>
      </c>
      <c r="K22" s="20">
        <f t="shared" si="3"/>
        <v>-0.26500000000000057</v>
      </c>
      <c r="L22" s="45">
        <f t="shared" si="4"/>
        <v>125.22999999999999</v>
      </c>
      <c r="M22" s="45">
        <f t="shared" si="5"/>
        <v>145.43</v>
      </c>
      <c r="N22" s="45">
        <f t="shared" si="6"/>
        <v>-20.200000000000017</v>
      </c>
    </row>
    <row r="23" spans="1:14" ht="50.25" customHeight="1">
      <c r="A23" s="14" t="s">
        <v>76</v>
      </c>
      <c r="B23" s="13" t="s">
        <v>62</v>
      </c>
      <c r="C23" s="21">
        <f>'[2]Расчет ТБО'!$D$33</f>
        <v>425.89</v>
      </c>
      <c r="D23" s="21">
        <f>'[2]Расчет ТБО'!$G$33+'[2]Расчет ТБО'!$H$33/2</f>
        <v>388.27</v>
      </c>
      <c r="E23" s="20">
        <f t="shared" si="1"/>
        <v>37.620000000000005</v>
      </c>
      <c r="F23" s="20">
        <f>'[2]Расчет ТБО'!$E$33</f>
        <v>443.76</v>
      </c>
      <c r="G23" s="22">
        <f>'[2]Расчет ТБО'!$H$33/2+'[2]Расчет ТБО'!$I$33/2</f>
        <v>407.595</v>
      </c>
      <c r="H23" s="20">
        <f t="shared" si="2"/>
        <v>36.164999999999964</v>
      </c>
      <c r="I23" s="20">
        <f>'[2]Расчет ТБО'!$F$33</f>
        <v>462.39</v>
      </c>
      <c r="J23" s="22">
        <f>'[2]Расчет ТБО'!$I$33/2+'[2]Расчет ТБО'!$J$33</f>
        <v>426.735</v>
      </c>
      <c r="K23" s="20">
        <f t="shared" si="3"/>
        <v>35.65499999999997</v>
      </c>
      <c r="L23" s="45">
        <f t="shared" si="4"/>
        <v>1332.04</v>
      </c>
      <c r="M23" s="45">
        <f t="shared" si="5"/>
        <v>1222.6</v>
      </c>
      <c r="N23" s="45">
        <f t="shared" si="6"/>
        <v>109.44000000000005</v>
      </c>
    </row>
    <row r="24" spans="1:14" ht="54" customHeight="1">
      <c r="A24" s="14" t="s">
        <v>77</v>
      </c>
      <c r="B24" s="13" t="s">
        <v>56</v>
      </c>
      <c r="C24" s="21">
        <f>C25+C26+C27</f>
        <v>332.3</v>
      </c>
      <c r="D24" s="21">
        <f>D25+D26+D27</f>
        <v>254.9701276092402</v>
      </c>
      <c r="E24" s="20">
        <f t="shared" si="1"/>
        <v>77.32987239075982</v>
      </c>
      <c r="F24" s="20">
        <f>'[2]Расчет ТБО'!$E$41</f>
        <v>374.87</v>
      </c>
      <c r="G24" s="22">
        <f>G25+G26+G27</f>
        <v>255.77049</v>
      </c>
      <c r="H24" s="20">
        <f t="shared" si="2"/>
        <v>119.09951000000001</v>
      </c>
      <c r="I24" s="20">
        <f>I25+I26+I27</f>
        <v>390.61</v>
      </c>
      <c r="J24" s="22">
        <f>J25+J26+J27</f>
        <v>245.63049</v>
      </c>
      <c r="K24" s="20">
        <f t="shared" si="3"/>
        <v>144.97951</v>
      </c>
      <c r="L24" s="45">
        <f t="shared" si="4"/>
        <v>1097.7800000000002</v>
      </c>
      <c r="M24" s="45">
        <f t="shared" si="5"/>
        <v>756.3711076092402</v>
      </c>
      <c r="N24" s="45">
        <f t="shared" si="6"/>
        <v>341.40889239076</v>
      </c>
    </row>
    <row r="25" spans="1:14" ht="54" customHeight="1">
      <c r="A25" s="14" t="s">
        <v>78</v>
      </c>
      <c r="B25" s="12" t="s">
        <v>52</v>
      </c>
      <c r="C25" s="21">
        <f>'[2]Расчет ТБО'!$D$42</f>
        <v>173.78</v>
      </c>
      <c r="D25" s="21">
        <f>'[2]Расчет ТБО'!$G$42+'[2]Расчет ТБО'!$H$42/2</f>
        <v>102.2201276092402</v>
      </c>
      <c r="E25" s="20">
        <f t="shared" si="1"/>
        <v>71.5598723907598</v>
      </c>
      <c r="F25" s="20">
        <f>'[2]Расчет ТБО'!$E$42</f>
        <v>181.08</v>
      </c>
      <c r="G25" s="22">
        <f>'[2]Расчет ТБО'!$H$42/2+'[2]Расчет ТБО'!$I$42/2</f>
        <v>107.81549</v>
      </c>
      <c r="H25" s="20">
        <f t="shared" si="2"/>
        <v>73.26451000000002</v>
      </c>
      <c r="I25" s="20">
        <f>'[2]Расчет ТБО'!$F$42</f>
        <v>188.68</v>
      </c>
      <c r="J25" s="22">
        <f>'[2]Расчет ТБО'!$I$42/2+'[2]Расчет ТБО'!$J$42</f>
        <v>112.88549</v>
      </c>
      <c r="K25" s="20">
        <f t="shared" si="3"/>
        <v>75.79451</v>
      </c>
      <c r="L25" s="45">
        <f t="shared" si="4"/>
        <v>543.54</v>
      </c>
      <c r="M25" s="45">
        <f t="shared" si="5"/>
        <v>322.9211076092402</v>
      </c>
      <c r="N25" s="45">
        <f t="shared" si="6"/>
        <v>220.61889239075975</v>
      </c>
    </row>
    <row r="26" spans="1:14" ht="37.5" customHeight="1">
      <c r="A26" s="14" t="s">
        <v>79</v>
      </c>
      <c r="B26" s="13" t="s">
        <v>49</v>
      </c>
      <c r="C26" s="21">
        <f>'[2]Расчет ТБО'!$D$45</f>
        <v>35.1</v>
      </c>
      <c r="D26" s="21">
        <f>'[2]Расчет ТБО'!$G$45+'[2]Расчет ТБО'!$H$45/2</f>
        <v>30.865000000000002</v>
      </c>
      <c r="E26" s="20">
        <f t="shared" si="1"/>
        <v>4.234999999999999</v>
      </c>
      <c r="F26" s="20">
        <f>'[2]Расчет ТБО'!$E$45</f>
        <v>65.19</v>
      </c>
      <c r="G26" s="22">
        <f>'[2]Расчет ТБО'!$H$45/2+'[2]Расчет ТБО'!$I$45/2</f>
        <v>32.56</v>
      </c>
      <c r="H26" s="20">
        <f t="shared" si="2"/>
        <v>32.629999999999995</v>
      </c>
      <c r="I26" s="20">
        <f>'[2]Расчет ТБО'!$F$45</f>
        <v>67.93</v>
      </c>
      <c r="J26" s="22">
        <f>'[2]Расчет ТБО'!$I$45/2+'[2]Расчет ТБО'!$J$45</f>
        <v>34.095</v>
      </c>
      <c r="K26" s="20">
        <f t="shared" si="3"/>
        <v>33.83500000000001</v>
      </c>
      <c r="L26" s="45">
        <f t="shared" si="4"/>
        <v>168.22</v>
      </c>
      <c r="M26" s="45">
        <f t="shared" si="5"/>
        <v>97.52000000000001</v>
      </c>
      <c r="N26" s="45">
        <f t="shared" si="6"/>
        <v>70.69999999999999</v>
      </c>
    </row>
    <row r="27" spans="1:14" ht="66.75" customHeight="1">
      <c r="A27" s="14" t="s">
        <v>80</v>
      </c>
      <c r="B27" s="13" t="s">
        <v>63</v>
      </c>
      <c r="C27" s="21">
        <f>'[2]Расчет ТБО'!$D$46</f>
        <v>123.42</v>
      </c>
      <c r="D27" s="21">
        <f>'[3]Расчет ТБО'!$G$46+'[3]Расчет ТБО'!$H$46/2</f>
        <v>121.88499999999999</v>
      </c>
      <c r="E27" s="20">
        <f t="shared" si="1"/>
        <v>1.5350000000000108</v>
      </c>
      <c r="F27" s="20">
        <f>'[2]Расчет ТБО'!$E$46</f>
        <v>128.61</v>
      </c>
      <c r="G27" s="22">
        <f>'[3]Расчет ТБО'!$H$46/2+'[3]Расчет ТБО'!$I$46/2</f>
        <v>115.395</v>
      </c>
      <c r="H27" s="20">
        <f t="shared" si="2"/>
        <v>13.215000000000018</v>
      </c>
      <c r="I27" s="20">
        <f>'[2]Расчет ТБО'!$F$46</f>
        <v>134</v>
      </c>
      <c r="J27" s="22">
        <f>'[3]Расчет ТБО'!$I$46/2+'[3]Расчет ТБО'!$J$46</f>
        <v>98.65</v>
      </c>
      <c r="K27" s="20">
        <f t="shared" si="3"/>
        <v>35.349999999999994</v>
      </c>
      <c r="L27" s="45">
        <f t="shared" si="4"/>
        <v>386.03000000000003</v>
      </c>
      <c r="M27" s="45">
        <f t="shared" si="5"/>
        <v>335.92999999999995</v>
      </c>
      <c r="N27" s="45">
        <f t="shared" si="6"/>
        <v>50.10000000000008</v>
      </c>
    </row>
    <row r="28" spans="1:14" ht="84" customHeight="1">
      <c r="A28" s="14"/>
      <c r="B28" s="13" t="s">
        <v>81</v>
      </c>
      <c r="C28" s="21">
        <f>C12+C13+C14+C15+C16+C18+C20+C24</f>
        <v>2377.2400000000002</v>
      </c>
      <c r="D28" s="21">
        <f>D12+D13+D14+D15+D16+D18+D20+D24</f>
        <v>2126.623370956014</v>
      </c>
      <c r="E28" s="20">
        <f t="shared" si="1"/>
        <v>250.61662904398645</v>
      </c>
      <c r="F28" s="20">
        <f>F12+F13+F14+F15+F16+F18+F20+F24</f>
        <v>2617.29</v>
      </c>
      <c r="G28" s="22">
        <f>G12+G13+G14+G15+G16+G18+G20+G24</f>
        <v>2210.4928802360023</v>
      </c>
      <c r="H28" s="20">
        <f t="shared" si="2"/>
        <v>406.79711976399767</v>
      </c>
      <c r="I28" s="20">
        <f>I12+I13+I14+I15+I16+I18+I20+I24</f>
        <v>2716.69</v>
      </c>
      <c r="J28" s="22">
        <f>J12+J13+J14+J15+J16+J18+J20+J24</f>
        <v>2280.4288853120943</v>
      </c>
      <c r="K28" s="20">
        <f t="shared" si="3"/>
        <v>436.2611146879058</v>
      </c>
      <c r="L28" s="45">
        <f t="shared" si="4"/>
        <v>7711.220000000001</v>
      </c>
      <c r="M28" s="45">
        <f t="shared" si="5"/>
        <v>6617.54513650411</v>
      </c>
      <c r="N28" s="45">
        <f t="shared" si="6"/>
        <v>1093.6748634958913</v>
      </c>
    </row>
    <row r="29" spans="1:14" ht="31.5">
      <c r="A29" s="14" t="s">
        <v>35</v>
      </c>
      <c r="B29" s="13" t="s">
        <v>82</v>
      </c>
      <c r="C29" s="21"/>
      <c r="D29" s="21"/>
      <c r="E29" s="20"/>
      <c r="F29" s="20"/>
      <c r="G29" s="22"/>
      <c r="H29" s="20"/>
      <c r="I29" s="20"/>
      <c r="J29" s="22"/>
      <c r="K29" s="20"/>
      <c r="L29" s="45"/>
      <c r="M29" s="45"/>
      <c r="N29" s="45"/>
    </row>
    <row r="30" spans="1:14" ht="15.75">
      <c r="A30" s="14"/>
      <c r="B30" s="13" t="s">
        <v>67</v>
      </c>
      <c r="C30" s="21"/>
      <c r="D30" s="21"/>
      <c r="E30" s="20"/>
      <c r="F30" s="20"/>
      <c r="G30" s="22"/>
      <c r="H30" s="20"/>
      <c r="I30" s="20"/>
      <c r="J30" s="22"/>
      <c r="K30" s="20"/>
      <c r="L30" s="45"/>
      <c r="M30" s="45"/>
      <c r="N30" s="45"/>
    </row>
    <row r="31" spans="1:14" ht="72.75" customHeight="1">
      <c r="A31" s="14" t="s">
        <v>53</v>
      </c>
      <c r="B31" s="13" t="s">
        <v>83</v>
      </c>
      <c r="C31" s="21">
        <f>68.62</f>
        <v>68.62</v>
      </c>
      <c r="D31" s="21">
        <f>18.05</f>
        <v>18.05</v>
      </c>
      <c r="E31" s="20">
        <f>50.57</f>
        <v>50.57</v>
      </c>
      <c r="F31" s="20">
        <f>74.73</f>
        <v>74.73</v>
      </c>
      <c r="G31" s="22">
        <f>18.88</f>
        <v>18.88</v>
      </c>
      <c r="H31" s="20">
        <f>55.85</f>
        <v>55.85</v>
      </c>
      <c r="I31" s="20">
        <f>77.6</f>
        <v>77.6</v>
      </c>
      <c r="J31" s="22">
        <f>19.58</f>
        <v>19.58</v>
      </c>
      <c r="K31" s="20">
        <f>58.02</f>
        <v>58.02</v>
      </c>
      <c r="L31" s="45">
        <f t="shared" si="4"/>
        <v>220.95000000000002</v>
      </c>
      <c r="M31" s="45">
        <f t="shared" si="5"/>
        <v>56.51</v>
      </c>
      <c r="N31" s="45">
        <f t="shared" si="6"/>
        <v>164.44000000000003</v>
      </c>
    </row>
    <row r="32" spans="1:14" ht="15.75">
      <c r="A32" s="14" t="s">
        <v>85</v>
      </c>
      <c r="B32" s="13" t="s">
        <v>84</v>
      </c>
      <c r="C32" s="21"/>
      <c r="D32" s="21"/>
      <c r="E32" s="20"/>
      <c r="F32" s="20"/>
      <c r="G32" s="22"/>
      <c r="H32" s="20"/>
      <c r="I32" s="20"/>
      <c r="J32" s="22"/>
      <c r="K32" s="20"/>
      <c r="L32" s="45"/>
      <c r="M32" s="45"/>
      <c r="N32" s="45"/>
    </row>
    <row r="33" spans="1:14" ht="94.5" customHeight="1">
      <c r="A33" s="43" t="s">
        <v>86</v>
      </c>
      <c r="B33" s="42" t="s">
        <v>87</v>
      </c>
      <c r="C33" s="21">
        <f>10.29</f>
        <v>10.29</v>
      </c>
      <c r="D33" s="21">
        <f>3.19</f>
        <v>3.19</v>
      </c>
      <c r="E33" s="20">
        <f>7.1</f>
        <v>7.1</v>
      </c>
      <c r="F33" s="20">
        <f>13.19</f>
        <v>13.19</v>
      </c>
      <c r="G33" s="22">
        <f>3.33</f>
        <v>3.33</v>
      </c>
      <c r="H33" s="20">
        <f>9.86</f>
        <v>9.86</v>
      </c>
      <c r="I33" s="20">
        <f>13.69</f>
        <v>13.69</v>
      </c>
      <c r="J33" s="22">
        <f>3.46</f>
        <v>3.46</v>
      </c>
      <c r="K33" s="20">
        <f>10.23</f>
        <v>10.23</v>
      </c>
      <c r="L33" s="45">
        <f t="shared" si="4"/>
        <v>37.169999999999995</v>
      </c>
      <c r="M33" s="45">
        <f t="shared" si="5"/>
        <v>9.98</v>
      </c>
      <c r="N33" s="45">
        <f t="shared" si="6"/>
        <v>27.189999999999994</v>
      </c>
    </row>
    <row r="34" spans="1:14" ht="47.25">
      <c r="A34" s="17"/>
      <c r="B34" s="12" t="s">
        <v>88</v>
      </c>
      <c r="C34" s="21">
        <f>C31+C33</f>
        <v>78.91</v>
      </c>
      <c r="D34" s="21">
        <f aca="true" t="shared" si="7" ref="D34:K34">D31+D33</f>
        <v>21.240000000000002</v>
      </c>
      <c r="E34" s="21">
        <f t="shared" si="7"/>
        <v>57.67</v>
      </c>
      <c r="F34" s="21">
        <f t="shared" si="7"/>
        <v>87.92</v>
      </c>
      <c r="G34" s="21">
        <f t="shared" si="7"/>
        <v>22.21</v>
      </c>
      <c r="H34" s="21">
        <f t="shared" si="7"/>
        <v>65.71000000000001</v>
      </c>
      <c r="I34" s="21">
        <f t="shared" si="7"/>
        <v>91.28999999999999</v>
      </c>
      <c r="J34" s="21">
        <f t="shared" si="7"/>
        <v>23.04</v>
      </c>
      <c r="K34" s="21">
        <f t="shared" si="7"/>
        <v>68.25</v>
      </c>
      <c r="L34" s="45">
        <f t="shared" si="4"/>
        <v>258.12</v>
      </c>
      <c r="M34" s="45">
        <f t="shared" si="5"/>
        <v>66.49000000000001</v>
      </c>
      <c r="N34" s="45">
        <f t="shared" si="6"/>
        <v>191.63</v>
      </c>
    </row>
    <row r="35" spans="1:14" ht="126">
      <c r="A35" s="64" t="s">
        <v>92</v>
      </c>
      <c r="B35" s="13" t="s">
        <v>89</v>
      </c>
      <c r="C35" s="45">
        <f>C28+C34</f>
        <v>2456.15</v>
      </c>
      <c r="D35" s="45">
        <v>2147.87</v>
      </c>
      <c r="E35" s="45">
        <f aca="true" t="shared" si="8" ref="E35:K35">E28+E34</f>
        <v>308.28662904398647</v>
      </c>
      <c r="F35" s="45">
        <f t="shared" si="8"/>
        <v>2705.21</v>
      </c>
      <c r="G35" s="45">
        <f t="shared" si="8"/>
        <v>2232.7028802360023</v>
      </c>
      <c r="H35" s="45">
        <f t="shared" si="8"/>
        <v>472.5071197639977</v>
      </c>
      <c r="I35" s="45">
        <f t="shared" si="8"/>
        <v>2807.98</v>
      </c>
      <c r="J35" s="45">
        <f t="shared" si="8"/>
        <v>2303.4688853120942</v>
      </c>
      <c r="K35" s="45">
        <f t="shared" si="8"/>
        <v>504.5111146879058</v>
      </c>
      <c r="L35" s="45">
        <f t="shared" si="4"/>
        <v>7969.34</v>
      </c>
      <c r="M35" s="45">
        <f t="shared" si="5"/>
        <v>6684.041765548097</v>
      </c>
      <c r="N35" s="45">
        <f t="shared" si="6"/>
        <v>1285.2982344519032</v>
      </c>
    </row>
  </sheetData>
  <sheetProtection/>
  <mergeCells count="10">
    <mergeCell ref="L7:N7"/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Layout" workbookViewId="0" topLeftCell="A1">
      <selection activeCell="I9" sqref="I9"/>
    </sheetView>
  </sheetViews>
  <sheetFormatPr defaultColWidth="9.140625" defaultRowHeight="12.75"/>
  <cols>
    <col min="1" max="1" width="4.28125" style="25" customWidth="1"/>
    <col min="2" max="2" width="30.28125" style="25" customWidth="1"/>
    <col min="3" max="9" width="13.00390625" style="25" customWidth="1"/>
    <col min="10" max="16384" width="9.140625" style="25" customWidth="1"/>
  </cols>
  <sheetData>
    <row r="1" spans="6:12" ht="57.75" customHeight="1">
      <c r="F1" s="26"/>
      <c r="G1" s="57" t="s">
        <v>64</v>
      </c>
      <c r="H1" s="61"/>
      <c r="I1" s="61"/>
      <c r="J1" s="27"/>
      <c r="K1" s="27"/>
      <c r="L1" s="27"/>
    </row>
    <row r="3" spans="1:12" ht="64.5" customHeight="1">
      <c r="A3" s="62" t="s">
        <v>65</v>
      </c>
      <c r="B3" s="62"/>
      <c r="C3" s="62"/>
      <c r="D3" s="62"/>
      <c r="E3" s="62"/>
      <c r="F3" s="62"/>
      <c r="G3" s="62"/>
      <c r="H3" s="62"/>
      <c r="I3" s="62"/>
      <c r="J3" s="28"/>
      <c r="K3" s="28"/>
      <c r="L3" s="28"/>
    </row>
    <row r="5" spans="1:9" s="29" customFormat="1" ht="50.25" customHeight="1">
      <c r="A5" s="63" t="s">
        <v>6</v>
      </c>
      <c r="B5" s="63" t="s">
        <v>11</v>
      </c>
      <c r="C5" s="63" t="s">
        <v>8</v>
      </c>
      <c r="D5" s="63" t="s">
        <v>27</v>
      </c>
      <c r="E5" s="63"/>
      <c r="F5" s="63"/>
      <c r="G5" s="63"/>
      <c r="H5" s="63"/>
      <c r="I5" s="63"/>
    </row>
    <row r="6" spans="1:9" s="29" customFormat="1" ht="55.5" customHeight="1">
      <c r="A6" s="63"/>
      <c r="B6" s="63"/>
      <c r="C6" s="63"/>
      <c r="D6" s="30" t="s">
        <v>28</v>
      </c>
      <c r="E6" s="30" t="s">
        <v>29</v>
      </c>
      <c r="F6" s="30" t="s">
        <v>30</v>
      </c>
      <c r="G6" s="30" t="s">
        <v>31</v>
      </c>
      <c r="H6" s="11" t="s">
        <v>32</v>
      </c>
      <c r="I6" s="11" t="s">
        <v>33</v>
      </c>
    </row>
    <row r="7" spans="1:9" s="29" customFormat="1" ht="15.75">
      <c r="A7" s="24">
        <v>1</v>
      </c>
      <c r="B7" s="24">
        <v>2</v>
      </c>
      <c r="C7" s="24">
        <v>3</v>
      </c>
      <c r="D7" s="31">
        <v>4</v>
      </c>
      <c r="E7" s="31">
        <v>5</v>
      </c>
      <c r="F7" s="31">
        <v>6</v>
      </c>
      <c r="G7" s="31">
        <v>7</v>
      </c>
      <c r="H7" s="39">
        <v>8</v>
      </c>
      <c r="I7" s="39">
        <v>9</v>
      </c>
    </row>
    <row r="8" spans="1:9" s="29" customFormat="1" ht="52.5" customHeight="1">
      <c r="A8" s="24" t="s">
        <v>34</v>
      </c>
      <c r="B8" s="23" t="s">
        <v>12</v>
      </c>
      <c r="C8" s="24" t="s">
        <v>13</v>
      </c>
      <c r="D8" s="32">
        <v>361.69</v>
      </c>
      <c r="E8" s="32">
        <v>376.88</v>
      </c>
      <c r="F8" s="33">
        <v>376.88</v>
      </c>
      <c r="G8" s="33">
        <v>389.32</v>
      </c>
      <c r="H8" s="33">
        <v>383.32</v>
      </c>
      <c r="I8" s="33">
        <v>402.54</v>
      </c>
    </row>
    <row r="9" spans="1:9" ht="52.5" customHeight="1">
      <c r="A9" s="24" t="s">
        <v>35</v>
      </c>
      <c r="B9" s="23" t="s">
        <v>14</v>
      </c>
      <c r="C9" s="24" t="s">
        <v>13</v>
      </c>
      <c r="D9" s="32">
        <v>361.69</v>
      </c>
      <c r="E9" s="32">
        <v>376.88</v>
      </c>
      <c r="F9" s="33">
        <v>376.88</v>
      </c>
      <c r="G9" s="33">
        <v>389.32</v>
      </c>
      <c r="H9" s="33">
        <v>389.32</v>
      </c>
      <c r="I9" s="33">
        <v>402.54</v>
      </c>
    </row>
    <row r="11" spans="1:9" ht="56.25" customHeight="1">
      <c r="A11" s="60" t="s">
        <v>15</v>
      </c>
      <c r="B11" s="60"/>
      <c r="C11" s="60"/>
      <c r="D11" s="60"/>
      <c r="E11" s="60"/>
      <c r="F11" s="60"/>
      <c r="G11" s="60"/>
      <c r="H11" s="60"/>
      <c r="I11" s="60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Аверяскина</cp:lastModifiedBy>
  <cp:lastPrinted>2013-11-06T08:23:35Z</cp:lastPrinted>
  <dcterms:created xsi:type="dcterms:W3CDTF">1996-10-08T23:32:33Z</dcterms:created>
  <dcterms:modified xsi:type="dcterms:W3CDTF">2013-11-06T08:59:38Z</dcterms:modified>
  <cp:category/>
  <cp:version/>
  <cp:contentType/>
  <cp:contentStatus/>
</cp:coreProperties>
</file>